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Sheet1" sheetId="8" r:id="rId8"/>
  </sheets>
  <externalReferences>
    <externalReference r:id="rId11"/>
  </externalReference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<sst xmlns="http://schemas.openxmlformats.org/spreadsheetml/2006/main" count="402" uniqueCount="350">
  <si>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</si>
  <si>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</si>
  <si>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</si>
  <si>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</si>
  <si>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</si>
  <si>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</si>
  <si>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</si>
  <si>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</si>
  <si>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</si>
  <si>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</si>
  <si>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</si>
  <si>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</si>
  <si>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</si>
  <si>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</si>
  <si>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</si>
  <si>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</si>
  <si>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</si>
  <si>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</si>
  <si>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</si>
  <si>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</si>
  <si>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</si>
  <si>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</si>
  <si>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</si>
  <si>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</si>
  <si>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</si>
  <si>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</si>
  <si>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</si>
  <si>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</si>
  <si>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</si>
  <si>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</si>
  <si>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</si>
  <si>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</si>
  <si>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</si>
  <si>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</si>
  <si>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</si>
  <si>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</si>
  <si>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</si>
  <si>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</si>
  <si>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</si>
  <si>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</si>
  <si>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</si>
  <si>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</si>
  <si>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</si>
  <si>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</si>
  <si>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</si>
  <si>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</si>
  <si>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</si>
  <si>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</si>
  <si>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</si>
  <si>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</si>
  <si>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</si>
  <si>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</si>
  <si>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</si>
  <si>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</si>
  <si>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</si>
  <si>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</si>
  <si>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</si>
  <si>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</si>
  <si>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</si>
  <si>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</si>
  <si>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</si>
  <si>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</si>
  <si>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</si>
  <si>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</si>
  <si>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</si>
  <si>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</si>
  <si>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</si>
  <si>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</si>
  <si>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</si>
  <si>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</si>
  <si>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</si>
  <si>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</si>
  <si>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</si>
  <si>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</si>
  <si>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</si>
  <si>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</si>
  <si>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</si>
  <si>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</si>
  <si>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</si>
  <si>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</si>
  <si>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</si>
  <si>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</si>
  <si>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</si>
  <si>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</si>
  <si>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</si>
  <si>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</si>
  <si>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</si>
  <si>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</si>
  <si>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</si>
  <si>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</si>
  <si>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</si>
  <si>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</si>
  <si>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</si>
  <si>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</si>
  <si>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</si>
  <si>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</si>
  <si>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</si>
  <si>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</si>
  <si>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</si>
  <si>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</si>
  <si>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</si>
  <si>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</si>
  <si>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</si>
  <si>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</si>
  <si>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</si>
  <si>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</si>
  <si>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</si>
  <si>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</si>
  <si>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</si>
  <si>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</si>
  <si>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</si>
  <si>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</si>
  <si>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</si>
  <si>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</si>
  <si>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</si>
  <si>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</si>
  <si>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</si>
  <si>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</si>
  <si>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</si>
  <si>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</si>
  <si>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</si>
  <si>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</si>
  <si>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</si>
  <si>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</si>
  <si>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</si>
  <si>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</si>
  <si>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</si>
  <si>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</si>
  <si>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</si>
  <si>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</si>
  <si>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</si>
  <si>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</si>
  <si>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</si>
  <si>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</si>
  <si>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</si>
  <si>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</si>
  <si>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</si>
  <si>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</si>
  <si>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</si>
  <si>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</si>
  <si>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</si>
  <si>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</si>
  <si>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</si>
  <si>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</si>
  <si>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</si>
  <si>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</si>
  <si>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</si>
  <si>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</si>
  <si>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</si>
  <si>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</si>
  <si>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</si>
  <si>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</si>
  <si>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</si>
  <si>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</si>
  <si>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</si>
  <si>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</si>
  <si>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</si>
  <si>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</si>
  <si>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</si>
  <si>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</si>
  <si>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</si>
  <si>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</si>
  <si>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</si>
  <si>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</si>
  <si>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</si>
  <si>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</si>
  <si>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</si>
  <si>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</si>
  <si>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</si>
  <si>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</si>
  <si>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</si>
  <si>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</si>
  <si>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</si>
  <si>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</si>
  <si>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</si>
  <si>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</si>
  <si>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</si>
  <si>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</si>
  <si>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</si>
  <si>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</si>
  <si>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</si>
  <si>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</si>
  <si>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</si>
  <si>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</si>
  <si>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</si>
  <si>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</si>
  <si>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</si>
  <si>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</si>
  <si>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</si>
  <si>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</si>
  <si>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</si>
  <si>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</si>
  <si>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</si>
  <si>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</si>
  <si>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</si>
  <si>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</si>
  <si>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</si>
  <si>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</si>
  <si>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</si>
  <si>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</si>
  <si>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</si>
  <si>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</si>
  <si>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</si>
  <si>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</si>
  <si>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</si>
  <si>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</si>
  <si>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</si>
  <si>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</si>
  <si>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</si>
  <si>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</si>
  <si>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</si>
  <si>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</si>
  <si>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</si>
  <si>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</si>
  <si>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</si>
  <si>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</si>
  <si>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</si>
  <si>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</si>
  <si>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</si>
  <si>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</si>
  <si>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</si>
  <si>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</si>
  <si>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</si>
  <si>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</si>
  <si>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</si>
  <si>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</si>
  <si>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</si>
  <si>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</si>
  <si>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</si>
  <si>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</si>
  <si>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</si>
  <si>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</si>
  <si>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</si>
  <si>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</si>
  <si>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</si>
  <si>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</si>
  <si>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</si>
  <si>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</si>
  <si>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</si>
  <si>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</si>
  <si>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</si>
  <si>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</si>
  <si>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</si>
  <si>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</si>
  <si>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</si>
  <si>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</si>
  <si>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</si>
  <si>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</si>
  <si>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</si>
  <si>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</si>
  <si>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</si>
  <si>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</si>
  <si>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</si>
  <si>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</si>
  <si>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</si>
  <si>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</si>
  <si>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</si>
  <si>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</si>
  <si>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</si>
  <si>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</si>
  <si>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</si>
  <si>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</si>
  <si>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</si>
  <si>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</si>
  <si>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</si>
  <si>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</si>
  <si>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</si>
  <si>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</si>
  <si>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</si>
  <si>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</si>
  <si>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</si>
  <si>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</si>
  <si>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</si>
  <si>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</si>
  <si>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</si>
  <si>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</si>
  <si>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</si>
  <si>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</si>
  <si>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</si>
  <si>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</si>
  <si>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</si>
  <si>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</si>
  <si>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</si>
  <si>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</si>
  <si>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</si>
  <si>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</si>
  <si>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</si>
  <si>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</si>
  <si>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</si>
  <si>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</si>
  <si>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</si>
  <si>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</si>
  <si>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</si>
  <si>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</si>
  <si>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</si>
  <si>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</si>
  <si>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</si>
  <si>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</si>
  <si>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</si>
  <si>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</si>
  <si>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</si>
  <si>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</si>
  <si>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</si>
  <si>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</si>
  <si>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</si>
  <si>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</si>
  <si>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</si>
  <si>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</si>
  <si>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</si>
  <si>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</si>
  <si>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</si>
  <si>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</si>
  <si>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</si>
  <si>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</si>
  <si>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</si>
  <si>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</si>
  <si>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</si>
  <si>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</si>
  <si>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</si>
  <si>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</si>
  <si>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</si>
  <si>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</si>
  <si>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</si>
  <si>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1.1.2014.</t>
  </si>
  <si>
    <t>30.06.2014.</t>
  </si>
  <si>
    <t>03324834</t>
  </si>
  <si>
    <t>060011576</t>
  </si>
  <si>
    <t>25592312404</t>
  </si>
  <si>
    <t>HOTELI TUČEPI DD</t>
  </si>
  <si>
    <t>TUČEPI</t>
  </si>
  <si>
    <t>DRAČEVICE 35</t>
  </si>
  <si>
    <t>maja.ristic@bluesunhotels.com</t>
  </si>
  <si>
    <t>www.bluesunhotels.com</t>
  </si>
  <si>
    <t>OPĆINA TUČEPI</t>
  </si>
  <si>
    <t>SPLITSKO-DALMATINSKA</t>
  </si>
  <si>
    <t>5510</t>
  </si>
  <si>
    <t>MARIJA RISTIĆ</t>
  </si>
  <si>
    <t>021/601-015</t>
  </si>
  <si>
    <t>021/601-037</t>
  </si>
  <si>
    <t>TONČI BORAS</t>
  </si>
  <si>
    <t>stanje na dan 30.06.2014.</t>
  </si>
  <si>
    <t>Obveznik: _HOTELI TUČEPI DD____________________________________________________________</t>
  </si>
  <si>
    <t>01.01.-30.06.</t>
  </si>
  <si>
    <t>01.04.-30.06.</t>
  </si>
  <si>
    <t>u razdoblju 01.01.2014. do 30.06.2014.</t>
  </si>
  <si>
    <t>Obveznik:HOTELI TUČEPI DD _____________________________________________________________</t>
  </si>
  <si>
    <t>31.12.2013.</t>
  </si>
  <si>
    <t>Obveznik: __HOTELI TUČEPI DD___________________________________________________________</t>
  </si>
  <si>
    <t>01.01.2014.</t>
  </si>
  <si>
    <t>31.12.2013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</si>
</sst>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TFI-POD%206-2014%20nt%20promj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ja.ristic@bluesunhotels.com" TargetMode="External" /><Relationship Id="rId2" Type="http://schemas.openxmlformats.org/officeDocument/2006/relationships/hyperlink" Target="http://www.bluesunhotels.com/" TargetMode="External" /><Relationship Id="rId3" Type="http://schemas.openxmlformats.org/officeDocument/2006/relationships/hyperlink" Target="mailto:maja.ristic@bluesunhotel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28" sqref="H28:I2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325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326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327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328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21325</v>
      </c>
      <c r="D14" s="179"/>
      <c r="E14" s="16"/>
      <c r="F14" s="152" t="s">
        <v>329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330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331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332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593</v>
      </c>
      <c r="D22" s="152" t="s">
        <v>333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17</v>
      </c>
      <c r="D24" s="152" t="s">
        <v>334</v>
      </c>
      <c r="E24" s="163"/>
      <c r="F24" s="163"/>
      <c r="G24" s="164"/>
      <c r="H24" s="51" t="s">
        <v>261</v>
      </c>
      <c r="I24" s="122">
        <v>350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/>
      <c r="D26" s="25"/>
      <c r="E26" s="33"/>
      <c r="F26" s="24"/>
      <c r="G26" s="165" t="s">
        <v>263</v>
      </c>
      <c r="H26" s="136"/>
      <c r="I26" s="124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336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337</v>
      </c>
      <c r="D48" s="133"/>
      <c r="E48" s="134"/>
      <c r="F48" s="16"/>
      <c r="G48" s="51" t="s">
        <v>271</v>
      </c>
      <c r="H48" s="137" t="s">
        <v>338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331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339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ja.ristic@bluesunhotels.com"/>
    <hyperlink ref="C20" r:id="rId2" display="www.bluesunhotels.com"/>
    <hyperlink ref="C50" r:id="rId3" display="maja.ristic@bluesunhotel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0">
      <selection activeCell="K100" sqref="K100"/>
    </sheetView>
  </sheetViews>
  <sheetFormatPr defaultColWidth="9.140625" defaultRowHeight="12.75"/>
  <cols>
    <col min="1" max="9" width="9.140625" style="52" customWidth="1"/>
    <col min="10" max="10" width="10.421875" style="52" customWidth="1"/>
    <col min="11" max="11" width="11.00390625" style="52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341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 t="s">
        <v>346</v>
      </c>
      <c r="K5" s="56" t="s">
        <v>324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53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</f>
        <v>424990410</v>
      </c>
      <c r="K8" s="53">
        <f>K9+K16+K26+K35+K39</f>
        <v>441188379.7099999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J11</f>
        <v>296958</v>
      </c>
      <c r="K9" s="53">
        <f>SUM(K10:K15)</f>
        <v>336997.08999999985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296958</v>
      </c>
      <c r="K11" s="7">
        <f>3286125.59-2949128.5</f>
        <v>336997.08999999985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J17+J18+J19+J20+J22+J23</f>
        <v>333463424</v>
      </c>
      <c r="K16" s="53">
        <f>SUM(K17:K25)</f>
        <v>349655754.61999995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117640305</v>
      </c>
      <c r="K17" s="7">
        <v>117640305.1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177647693</v>
      </c>
      <c r="K18" s="7">
        <f>318149364.03-142625848.49</f>
        <v>175523515.53999996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24009061</v>
      </c>
      <c r="K19" s="7">
        <f>96157073.08-73737296.87</f>
        <v>22419776.209999993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5286833</v>
      </c>
      <c r="K20" s="7">
        <f>29937254.63+670246.1-25115664.53-437342.32-13703.86</f>
        <v>5040790.019999999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8124217</v>
      </c>
      <c r="K22" s="7">
        <v>841488.62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755315</v>
      </c>
      <c r="K23" s="7">
        <v>28189879.13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J27+J28+J29</f>
        <v>91230028</v>
      </c>
      <c r="K26" s="53">
        <f>SUM(K27:K34)</f>
        <v>91195628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91230028</v>
      </c>
      <c r="K29" s="7">
        <v>91195628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/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7370953</v>
      </c>
      <c r="K40" s="53">
        <f>K41+K49+K56+K64</f>
        <v>21137573.939999998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J42</f>
        <v>359577</v>
      </c>
      <c r="K41" s="53">
        <f>SUM(K42:K48)</f>
        <v>1492812.2199999988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359577</v>
      </c>
      <c r="K42" s="7">
        <f>8829282.29-7336470.07</f>
        <v>1492812.2199999988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J50+J51+J54+J55</f>
        <v>4348279</v>
      </c>
      <c r="K49" s="53">
        <f>SUM(K50:K55)</f>
        <v>15668393.34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21095</v>
      </c>
      <c r="K50" s="7">
        <f>26342.17+3187.5+101172.16</f>
        <v>130701.83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3354662</v>
      </c>
      <c r="K51" s="7">
        <f>1006986.95+9694513.99-1067518.35</f>
        <v>9633982.59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/>
      <c r="K53" s="7">
        <v>188294.83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489970</v>
      </c>
      <c r="K54" s="7">
        <f>2359728.59+15020.09+138301.31</f>
        <v>2513049.9899999998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482552</v>
      </c>
      <c r="K55" s="7">
        <f>3030886.94-138301.31+309778.47</f>
        <v>3202364.0999999996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J58</f>
        <v>400000</v>
      </c>
      <c r="K56" s="53">
        <f>SUM(K57:K63)</f>
        <v>2806210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400000</v>
      </c>
      <c r="K58" s="7">
        <v>2800000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/>
      <c r="K62" s="7">
        <v>6210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2263097</v>
      </c>
      <c r="K64" s="7">
        <v>1170158.38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759954</v>
      </c>
      <c r="K65" s="7">
        <v>1921185.95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433121317</v>
      </c>
      <c r="K66" s="53">
        <f>K7+K8+K40+K65</f>
        <v>464247139.5999999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J70+J72+J78+J79+J82+J85</f>
        <v>279528504</v>
      </c>
      <c r="K69" s="54">
        <f>K70+K71+K72+K78+K79+K82+K85</f>
        <v>269545024.03000003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208109700</v>
      </c>
      <c r="K70" s="7">
        <v>208109700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J73+J74+J75+J76+J77</f>
        <v>126325</v>
      </c>
      <c r="K72" s="53">
        <f>K73+K74-K75+K76+K77</f>
        <v>126325.05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126325</v>
      </c>
      <c r="K73" s="7">
        <v>126325.05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71973479</v>
      </c>
      <c r="K78" s="7">
        <v>71973478.48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v>-5577309</v>
      </c>
      <c r="K79" s="53">
        <f>K80-K81</f>
        <v>-681000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5577309</v>
      </c>
      <c r="K81" s="7">
        <v>681000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J83+J84</f>
        <v>4896309</v>
      </c>
      <c r="K82" s="53">
        <f>K83-K84</f>
        <v>-9983479.5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4896309</v>
      </c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>
        <v>9983479.5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J87+J88</f>
        <v>20360888</v>
      </c>
      <c r="K86" s="53">
        <f>SUM(K87:K89)</f>
        <v>21015547.53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2367518</v>
      </c>
      <c r="K87" s="7">
        <v>3022177.91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>
        <v>17993370</v>
      </c>
      <c r="K88" s="7">
        <v>17993369.62</v>
      </c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J91+J93</f>
        <v>95128206</v>
      </c>
      <c r="K90" s="53">
        <f>SUM(K91:K99)</f>
        <v>108818423.14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>
        <v>15275286</v>
      </c>
      <c r="K91" s="7">
        <v>15142742</v>
      </c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79852920</v>
      </c>
      <c r="K93" s="7">
        <f>93576620.88+99060.26</f>
        <v>93675681.14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J101+J102+J104+J105+J108+J109</f>
        <v>36872531.25</v>
      </c>
      <c r="K100" s="53">
        <f>SUM(K101:K112)</f>
        <v>63818569.39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599889</v>
      </c>
      <c r="K101" s="7">
        <f>671951.47+852590.58</f>
        <v>1524542.0499999998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f>46549958.25-15275286</f>
        <v>31274672.25</v>
      </c>
      <c r="K102" s="7">
        <f>35695345.92-852590.58</f>
        <v>34842755.34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/>
      <c r="K103" s="7"/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1651093</v>
      </c>
      <c r="K104" s="7">
        <f>13723936.19-1211925.76</f>
        <v>12512010.43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478510</v>
      </c>
      <c r="K105" s="7">
        <f>10336790.76+163698.04+40711.5+154987.36+1335418.1</f>
        <v>12031605.759999998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1058000</v>
      </c>
      <c r="K108" s="7">
        <v>1751368.27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1810367</v>
      </c>
      <c r="K109" s="7">
        <v>1156287.54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/>
      <c r="K112" s="7"/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1231188</v>
      </c>
      <c r="K113" s="7">
        <v>1049575.51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433121317.25</v>
      </c>
      <c r="K114" s="53">
        <f>K69+K86+K90+K100+K113</f>
        <v>464247139.6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C1">
      <selection activeCell="A9" sqref="A9:H9"/>
    </sheetView>
  </sheetViews>
  <sheetFormatPr defaultColWidth="9.140625" defaultRowHeight="12.75"/>
  <cols>
    <col min="1" max="9" width="9.140625" style="52" customWidth="1"/>
    <col min="10" max="10" width="13.00390625" style="52" customWidth="1"/>
    <col min="11" max="11" width="11.57421875" style="52" customWidth="1"/>
    <col min="12" max="12" width="12.00390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345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>
        <v>2013</v>
      </c>
      <c r="K4" s="237"/>
      <c r="L4" s="237">
        <v>2014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 t="s">
        <v>342</v>
      </c>
      <c r="K6" s="60" t="s">
        <v>343</v>
      </c>
      <c r="L6" s="60" t="s">
        <v>342</v>
      </c>
      <c r="M6" s="60" t="s">
        <v>343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23171014.310000002</v>
      </c>
      <c r="K7" s="54">
        <f>SUM(K8:K9)</f>
        <v>20717797</v>
      </c>
      <c r="L7" s="54">
        <f>SUM(L8:L9)</f>
        <v>24136300.08</v>
      </c>
      <c r="M7" s="54">
        <f>SUM(M8:M9)</f>
        <v>22418381.099999998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21200487.12</v>
      </c>
      <c r="K8" s="7">
        <v>20717797</v>
      </c>
      <c r="L8" s="7">
        <f>22465016.97-9085.1</f>
        <v>22455931.869999997</v>
      </c>
      <c r="M8" s="7">
        <v>22410381.099999998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1970527.19</v>
      </c>
      <c r="K9" s="7">
        <v>0</v>
      </c>
      <c r="L9" s="7">
        <f>1728147.56-47779.35</f>
        <v>1680368.21</v>
      </c>
      <c r="M9" s="7">
        <v>8000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32348239.08</v>
      </c>
      <c r="K10" s="53">
        <f>K11+K12+K16+K20+K21+K22+K25+K26</f>
        <v>21733134</v>
      </c>
      <c r="L10" s="53">
        <f>L11+L12+L16+L20+L21+L22+L25+L26</f>
        <v>31901069.630000003</v>
      </c>
      <c r="M10" s="53">
        <f>M11+M12+M16+M20+M21+M22+M25+M26</f>
        <v>22689779.940000005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10870138.120000001</v>
      </c>
      <c r="K12" s="53">
        <f>SUM(K13:K15)</f>
        <v>9359168</v>
      </c>
      <c r="L12" s="53">
        <f>SUM(L13:L15)</f>
        <v>11071232.05</v>
      </c>
      <c r="M12" s="53">
        <f>SUM(M13:M15)</f>
        <v>10116698.63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6895374.91</v>
      </c>
      <c r="K13" s="7">
        <v>6367376</v>
      </c>
      <c r="L13" s="7">
        <v>7030949.58</v>
      </c>
      <c r="M13" s="7">
        <v>6841009.3100000005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>
        <v>950</v>
      </c>
      <c r="M14" s="7">
        <v>950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3974763.21</v>
      </c>
      <c r="K15" s="7">
        <v>2991792</v>
      </c>
      <c r="L15" s="7">
        <v>4039332.47</v>
      </c>
      <c r="M15" s="7">
        <v>3274739.3200000003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9753707.36</v>
      </c>
      <c r="K16" s="53">
        <f>SUM(K17:K19)</f>
        <v>5647201</v>
      </c>
      <c r="L16" s="53">
        <f>SUM(L17:L19)</f>
        <v>9895323.07</v>
      </c>
      <c r="M16" s="53">
        <f>SUM(M17:M19)</f>
        <v>6049870.93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6125958.52</v>
      </c>
      <c r="K17" s="7">
        <v>3529216</v>
      </c>
      <c r="L17" s="7">
        <v>6213392.34</v>
      </c>
      <c r="M17" s="7">
        <v>3773886.61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2350462.99</v>
      </c>
      <c r="K18" s="7">
        <v>1379366</v>
      </c>
      <c r="L18" s="7">
        <f>598961.91+1690790.18</f>
        <v>2289752.09</v>
      </c>
      <c r="M18" s="7">
        <v>1391191.88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1277285.85</v>
      </c>
      <c r="K19" s="7">
        <v>738619</v>
      </c>
      <c r="L19" s="7">
        <v>1392178.64</v>
      </c>
      <c r="M19" s="7">
        <v>884792.44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5456577.71</v>
      </c>
      <c r="K20" s="7">
        <v>2667288</v>
      </c>
      <c r="L20" s="7">
        <v>5096518.77</v>
      </c>
      <c r="M20" s="7">
        <v>2552218.1999999997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/>
      <c r="K21" s="7"/>
      <c r="L21" s="7"/>
      <c r="M21" s="7"/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0</v>
      </c>
      <c r="K24" s="7">
        <v>0</v>
      </c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>
        <v>2036241.81</v>
      </c>
      <c r="K25" s="7">
        <v>1617722</v>
      </c>
      <c r="L25" s="7">
        <f>2365068.93-930960.47</f>
        <v>1434108.4600000002</v>
      </c>
      <c r="M25" s="7">
        <v>1377478.7800000003</v>
      </c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4231574.08</v>
      </c>
      <c r="K26" s="7">
        <v>2441755</v>
      </c>
      <c r="L26" s="7">
        <v>4403887.28</v>
      </c>
      <c r="M26" s="7">
        <v>2593513.4000000004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1899519.06</v>
      </c>
      <c r="K27" s="53">
        <f>SUM(K28:K32)</f>
        <v>1741048</v>
      </c>
      <c r="L27" s="53">
        <f>SUM(L28:L32)</f>
        <v>1928319.42</v>
      </c>
      <c r="M27" s="53">
        <f>SUM(M28:M32)</f>
        <v>1820364.8599999999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172239.56</v>
      </c>
      <c r="K28" s="7">
        <v>77683</v>
      </c>
      <c r="L28" s="7">
        <v>728.77</v>
      </c>
      <c r="M28" s="7">
        <v>728.77</v>
      </c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1727279.5</v>
      </c>
      <c r="K29" s="7">
        <v>1663365</v>
      </c>
      <c r="L29" s="7">
        <f>1928319.42-728.77</f>
        <v>1927590.65</v>
      </c>
      <c r="M29" s="7">
        <v>1819636.0899999999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1876817.5999999999</v>
      </c>
      <c r="K33" s="53">
        <f>SUM(K34:K37)</f>
        <v>1045269</v>
      </c>
      <c r="L33" s="53">
        <f>SUM(L34:L37)</f>
        <v>4197376.49</v>
      </c>
      <c r="M33" s="53">
        <f>SUM(M34:M37)</f>
        <v>1941441.3400000003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>
        <v>51444.93</v>
      </c>
      <c r="K34" s="7">
        <v>51445</v>
      </c>
      <c r="L34" s="7">
        <v>528857.05</v>
      </c>
      <c r="M34" s="7">
        <v>265674.9</v>
      </c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1825372.67</v>
      </c>
      <c r="K35" s="7">
        <v>993824</v>
      </c>
      <c r="L35" s="7">
        <f>4197376.49-528857.05</f>
        <v>3668519.4400000004</v>
      </c>
      <c r="M35" s="7">
        <v>1675766.4400000004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>
        <v>67002.71</v>
      </c>
      <c r="K40" s="7">
        <v>53082</v>
      </c>
      <c r="L40" s="7">
        <f>950+47779.35+20776.72+48689.17</f>
        <v>118195.24</v>
      </c>
      <c r="M40" s="7">
        <v>22426.560000000012</v>
      </c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>
        <v>101917.83</v>
      </c>
      <c r="K41" s="7">
        <v>63408</v>
      </c>
      <c r="L41" s="7">
        <v>67848.12</v>
      </c>
      <c r="M41" s="7">
        <v>12065.739999999998</v>
      </c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25137536.080000002</v>
      </c>
      <c r="K42" s="53">
        <f>K7+K27+K38+K40</f>
        <v>22511927</v>
      </c>
      <c r="L42" s="53">
        <f>L7+L27+L38+L40</f>
        <v>26182814.74</v>
      </c>
      <c r="M42" s="53">
        <f>M7+M27+M38+M40</f>
        <v>24261172.519999996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34326974.51</v>
      </c>
      <c r="K43" s="53">
        <f>K10+K33+K39+K41</f>
        <v>22841811</v>
      </c>
      <c r="L43" s="53">
        <f>L10+L33+L39+L41</f>
        <v>36166294.24</v>
      </c>
      <c r="M43" s="53">
        <f>M10+M33+M39+M41</f>
        <v>24643287.020000003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-9189438.429999996</v>
      </c>
      <c r="K44" s="53">
        <f>K42-K43</f>
        <v>-329884</v>
      </c>
      <c r="L44" s="53">
        <f>L42-L43</f>
        <v>-9983479.500000004</v>
      </c>
      <c r="M44" s="53">
        <f>M42-M43</f>
        <v>-382114.50000000745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9189438.429999996</v>
      </c>
      <c r="K46" s="53">
        <f>IF(K43&gt;K42,K43-K42,0)</f>
        <v>329884</v>
      </c>
      <c r="L46" s="53">
        <f>IF(L43&gt;L42,L43-L42,0)</f>
        <v>9983479.500000004</v>
      </c>
      <c r="M46" s="53">
        <f>IF(M43&gt;M42,M43-M42,0)</f>
        <v>382114.50000000745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-9189438.429999996</v>
      </c>
      <c r="K48" s="53">
        <f>K44-K47</f>
        <v>-329884</v>
      </c>
      <c r="L48" s="53">
        <f>L44-L47</f>
        <v>-9983479.500000004</v>
      </c>
      <c r="M48" s="53">
        <f>M44-M47</f>
        <v>-382114.50000000745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9189438.429999996</v>
      </c>
      <c r="K50" s="61">
        <f>IF(K48&lt;0,-K48,0)</f>
        <v>329884</v>
      </c>
      <c r="L50" s="61">
        <f>IF(L48&lt;0,-L48,0)</f>
        <v>9983479.500000004</v>
      </c>
      <c r="M50" s="61">
        <f>IF(M48&lt;0,-M48,0)</f>
        <v>382114.50000000745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/>
      <c r="K56" s="6"/>
      <c r="L56" s="6"/>
      <c r="M56" s="6"/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20">
      <selection activeCell="J35" sqref="J35:K52"/>
    </sheetView>
  </sheetViews>
  <sheetFormatPr defaultColWidth="9.140625" defaultRowHeight="12.75"/>
  <cols>
    <col min="1" max="7" width="9.140625" style="52" customWidth="1"/>
    <col min="8" max="8" width="6.28125" style="52" customWidth="1"/>
    <col min="9" max="9" width="9.140625" style="52" customWidth="1"/>
    <col min="10" max="10" width="10.28125" style="52" customWidth="1"/>
    <col min="11" max="11" width="10.57421875" style="52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347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346</v>
      </c>
      <c r="K5" s="69" t="s">
        <v>324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7">
        <v>6080429</v>
      </c>
      <c r="K7" s="7">
        <f>'[1]RDG'!L48</f>
        <v>-9983479.500000004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7">
        <v>10589401</v>
      </c>
      <c r="K8" s="7">
        <f>'[1]RDG'!L20</f>
        <v>5096518.77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7">
        <v>5889725</v>
      </c>
      <c r="K9" s="7">
        <v>26946038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7">
        <v>0</v>
      </c>
      <c r="K10" s="7">
        <v>0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7">
        <v>53321</v>
      </c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7"/>
      <c r="K12" s="7"/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53">
        <f>SUM(J7:J12)</f>
        <v>22612876</v>
      </c>
      <c r="K13" s="53">
        <f>SUM(K7:K12)</f>
        <v>22059077.269999996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7">
        <v>0</v>
      </c>
      <c r="K14" s="7">
        <v>0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7">
        <v>632398</v>
      </c>
      <c r="K15" s="7">
        <v>11320114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7">
        <v>0</v>
      </c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7">
        <v>4376739</v>
      </c>
      <c r="K17" s="7">
        <v>91351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53">
        <f>SUM(J14:J17)</f>
        <v>5009137</v>
      </c>
      <c r="K18" s="53">
        <f>SUM(K14:K17)</f>
        <v>11411465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53">
        <f>J13-J18</f>
        <v>17603739</v>
      </c>
      <c r="K19" s="53">
        <f>IF(K13&gt;K18,K13-K18,0)</f>
        <v>10647612.269999996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/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7">
        <v>98588</v>
      </c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7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7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7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7">
        <v>28040528</v>
      </c>
      <c r="K26" s="7">
        <f>11737160.31+46227.41+1250000+15171008</f>
        <v>28204395.72</v>
      </c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53">
        <f>SUM(J22:J26)</f>
        <v>28139116</v>
      </c>
      <c r="K27" s="53">
        <f>SUM(K22:K26)</f>
        <v>28204395.72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7">
        <v>4007967</v>
      </c>
      <c r="K28" s="7">
        <f>83787.25+256854.18+591432.54+224391.18</f>
        <v>1156465.15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7">
        <v>90013428</v>
      </c>
      <c r="K29" s="7">
        <f>90013428</f>
        <v>90013428</v>
      </c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7">
        <v>13648507</v>
      </c>
      <c r="K30" s="7">
        <f>14137160.31+850000+15303552+20151835.56-15002238</f>
        <v>35440309.870000005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53">
        <f>SUM(J28:J30)</f>
        <v>107669902</v>
      </c>
      <c r="K31" s="53">
        <f>SUM(K28:K30)</f>
        <v>126610203.02000001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53"/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53">
        <f>J31-J27</f>
        <v>79530786</v>
      </c>
      <c r="K33" s="53">
        <f>IF(K31&gt;K27,K31-K27,0)</f>
        <v>98405807.30000001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7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7">
        <v>90379089</v>
      </c>
      <c r="K36" s="7">
        <f>17178881.12+12557989.73+75011190</f>
        <v>104748060.85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7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53">
        <f>SUM(J35:J37)</f>
        <v>90379089</v>
      </c>
      <c r="K38" s="53">
        <f>SUM(K35:K37)</f>
        <v>104748060.85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7">
        <v>26508880</v>
      </c>
      <c r="K39" s="7">
        <f>4700000+2200614.02+7862028.16+3320162.48</f>
        <v>18082804.66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7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7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7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7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53">
        <f>SUM(J39:J43)</f>
        <v>26508880</v>
      </c>
      <c r="K44" s="53">
        <f>SUM(K39:K43)</f>
        <v>18082804.66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53">
        <f>J38-J44</f>
        <v>63870209</v>
      </c>
      <c r="K45" s="53">
        <f>IF(K38&gt;K44,K38-K44,0)</f>
        <v>86665256.19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53"/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53">
        <f>J19-J20+J32-J33+J45-J46</f>
        <v>1943162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53"/>
      <c r="K48" s="53">
        <f>IF(K20-K19+K33-K32+K46-K45&gt;0,K20-K19+K33-K32+K46-K45,0)</f>
        <v>1092938.8400000185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7">
        <v>319935</v>
      </c>
      <c r="K49" s="7"/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7">
        <f>J47</f>
        <v>1943162</v>
      </c>
      <c r="K50" s="7">
        <v>2263097.2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7"/>
      <c r="K51" s="7"/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J47+J49</f>
        <v>2263097</v>
      </c>
      <c r="K52" s="61">
        <f>K50-K48</f>
        <v>1170158.3599999817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480314960629921" right="0.7480314960629921" top="1.7716535433070868" bottom="0.787401574803149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0" width="9.140625" style="76" customWidth="1"/>
    <col min="11" max="11" width="11.00390625" style="76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 t="s">
        <v>348</v>
      </c>
      <c r="F2" s="43" t="s">
        <v>250</v>
      </c>
      <c r="G2" s="285" t="s">
        <v>324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349</v>
      </c>
      <c r="K4" s="83" t="s">
        <v>324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208109700</v>
      </c>
      <c r="K5" s="45">
        <v>208109700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126325</v>
      </c>
      <c r="K7" s="46">
        <v>126325.05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-5577309</v>
      </c>
      <c r="K8" s="46">
        <v>-681000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4896309</v>
      </c>
      <c r="K9" s="46">
        <v>-9983479.5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207555025</v>
      </c>
      <c r="K14" s="79">
        <f>SUM(K5:K13)</f>
        <v>197571545.55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>
        <v>71973478</v>
      </c>
      <c r="K20" s="46">
        <v>71973478.48</v>
      </c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71973478</v>
      </c>
      <c r="K21" s="80">
        <f>SUM(K15:K20)</f>
        <v>71973478.48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1.7716535433070868" bottom="0.787401574803149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Marija Ristić</cp:lastModifiedBy>
  <cp:lastPrinted>2014-07-30T13:13:25Z</cp:lastPrinted>
  <dcterms:created xsi:type="dcterms:W3CDTF">2008-10-17T11:51:54Z</dcterms:created>
  <dcterms:modified xsi:type="dcterms:W3CDTF">2014-07-31T09:04:11Z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